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75" windowHeight="11955"/>
  </bookViews>
  <sheets>
    <sheet name="PPP Contracts" sheetId="1" r:id="rId1"/>
  </sheets>
  <definedNames>
    <definedName name="_xlnm.Print_Area" localSheetId="0">'PPP Contracts'!$A$1:$AJ$14</definedName>
  </definedNames>
  <calcPr calcId="125725"/>
</workbook>
</file>

<file path=xl/calcChain.xml><?xml version="1.0" encoding="utf-8"?>
<calcChain xmlns="http://schemas.openxmlformats.org/spreadsheetml/2006/main">
  <c r="Y2" i="1"/>
  <c r="Y4" l="1"/>
  <c r="AA4" s="1"/>
  <c r="Y3"/>
  <c r="AA3"/>
  <c r="AG13"/>
  <c r="AF13"/>
  <c r="AE13"/>
  <c r="AD13"/>
  <c r="AC13"/>
  <c r="AB13"/>
  <c r="S14" l="1"/>
  <c r="M14"/>
  <c r="I13"/>
  <c r="I12" l="1"/>
  <c r="X3"/>
  <c r="X2"/>
  <c r="X4" s="1"/>
  <c r="I9" l="1"/>
  <c r="I2"/>
  <c r="I5"/>
  <c r="I6"/>
  <c r="I7"/>
  <c r="I8"/>
  <c r="I10"/>
  <c r="AJ8"/>
  <c r="AI8"/>
  <c r="AH8"/>
  <c r="AG8"/>
  <c r="AF8"/>
  <c r="AE8"/>
  <c r="AD8"/>
  <c r="AC8"/>
  <c r="I14" l="1"/>
  <c r="I11"/>
  <c r="B23" l="1"/>
  <c r="B24"/>
  <c r="B25"/>
  <c r="B22"/>
  <c r="U2"/>
  <c r="U3"/>
  <c r="V2"/>
  <c r="V3"/>
  <c r="W2"/>
  <c r="W3"/>
  <c r="AJ6"/>
  <c r="AI6"/>
  <c r="AH6"/>
  <c r="AG6"/>
  <c r="AF6"/>
  <c r="AE6"/>
  <c r="AD6"/>
  <c r="AC6"/>
  <c r="AB6"/>
  <c r="AJ5"/>
  <c r="AI5"/>
  <c r="AH5"/>
  <c r="AG5"/>
  <c r="AF5"/>
  <c r="AE5"/>
  <c r="AD5"/>
  <c r="AC5"/>
  <c r="AB5"/>
  <c r="AJ7"/>
  <c r="AI7"/>
  <c r="AH7"/>
  <c r="AG7"/>
  <c r="AF7"/>
  <c r="AE7"/>
  <c r="AD7"/>
  <c r="AC7"/>
  <c r="AB7"/>
  <c r="AC14" l="1"/>
  <c r="AE14"/>
  <c r="AG14"/>
  <c r="AI14"/>
  <c r="AB14"/>
  <c r="AD14"/>
  <c r="AF14"/>
  <c r="AH14"/>
  <c r="AJ14"/>
  <c r="U4"/>
  <c r="W4"/>
  <c r="V4"/>
</calcChain>
</file>

<file path=xl/sharedStrings.xml><?xml version="1.0" encoding="utf-8"?>
<sst xmlns="http://schemas.openxmlformats.org/spreadsheetml/2006/main" count="373" uniqueCount="102">
  <si>
    <t xml:space="preserve">Project Title </t>
  </si>
  <si>
    <t xml:space="preserve">Contract Duration </t>
  </si>
  <si>
    <t xml:space="preserve">Sign of contract </t>
  </si>
  <si>
    <t xml:space="preserve">Expected Date of start of Operation  (under contract) </t>
  </si>
  <si>
    <t xml:space="preserve">Senior Lenders </t>
  </si>
  <si>
    <t xml:space="preserve">SPV Sponsors </t>
  </si>
  <si>
    <t xml:space="preserve">VAT Provider </t>
  </si>
  <si>
    <t xml:space="preserve">Attica Urban Transportation-Telematics System  </t>
  </si>
  <si>
    <t xml:space="preserve">27 years  (25 years operation, 2 years construction) </t>
  </si>
  <si>
    <t>-</t>
  </si>
  <si>
    <t xml:space="preserve">Eurobank  </t>
  </si>
  <si>
    <t xml:space="preserve">Alpha Bank </t>
  </si>
  <si>
    <t>12 years  (10.5 years operation, 18 months construction)</t>
  </si>
  <si>
    <t>National Bank of Greece</t>
  </si>
  <si>
    <t xml:space="preserve">EIB - Eurobank  </t>
  </si>
  <si>
    <t>Project Status</t>
  </si>
  <si>
    <t>In Operation</t>
  </si>
  <si>
    <t>Source of State Financial Contribution</t>
  </si>
  <si>
    <t>NSRF (ESPA)</t>
  </si>
  <si>
    <t>Total Actual Payments</t>
  </si>
  <si>
    <t>Total Actual Savings</t>
  </si>
  <si>
    <t xml:space="preserve">Actual Delivery Date </t>
  </si>
  <si>
    <t>Grantor</t>
  </si>
  <si>
    <t>Athens Urban Transport Organisation</t>
  </si>
  <si>
    <t>School Buildings Organisation SA</t>
  </si>
  <si>
    <t xml:space="preserve">25 years  (23 years, 2 years construction) </t>
  </si>
  <si>
    <t>Senior Long Term Debt Facility (million euros)</t>
  </si>
  <si>
    <t>Equity (million euros)</t>
  </si>
  <si>
    <t>VAT Facility (million euros)</t>
  </si>
  <si>
    <t>State Financial Contribution during Construction (million euros)</t>
  </si>
  <si>
    <t xml:space="preserve">EIB – National Bank of Greece (JESSICA) </t>
  </si>
  <si>
    <t xml:space="preserve">Attica Schools S.A. (ATESE S.A. 100%)  </t>
  </si>
  <si>
    <t xml:space="preserve">JPA Attica Schools Construction and Management (J&amp;P – AVAX 100%)  </t>
  </si>
  <si>
    <t>Advanced Transport Telematics (INTRASOFT INTERNATIONAL - INTRAKAT 50%-50%)</t>
  </si>
  <si>
    <t>Type of project / Payments from the State</t>
  </si>
  <si>
    <t>PPP Projects under PPP Law 3389/2005</t>
  </si>
  <si>
    <t>Under Construction</t>
  </si>
  <si>
    <t xml:space="preserve">National Bank of Greece (commercial lender and JESSICA funds provider) </t>
  </si>
  <si>
    <t>Gradually, 2011 - Sep 2014</t>
  </si>
  <si>
    <t>Availability Payments from PIB</t>
  </si>
  <si>
    <t>PIB:</t>
  </si>
  <si>
    <t>Public Investment Budget</t>
  </si>
  <si>
    <t>Total Project Cost (mn euros)</t>
  </si>
  <si>
    <t>SUM</t>
  </si>
  <si>
    <t>Annual Availability Payments In Operational Period  - 2011</t>
  </si>
  <si>
    <t>Annual Availability Payments In Operational Period - 2012</t>
  </si>
  <si>
    <t>Annual Availability Payments In Operational Period - 2013</t>
  </si>
  <si>
    <t>Annual Availability Payments In Operational Period  - 2014</t>
  </si>
  <si>
    <t>Annual Availability Payments In Operational Period - 2015</t>
  </si>
  <si>
    <t>Annual Availability Payments In Operational Period - 2016</t>
  </si>
  <si>
    <t>Annual Availability Payments In Operational Period - 2017</t>
  </si>
  <si>
    <t>Annual Availability Payments In Operational Period  -2018</t>
  </si>
  <si>
    <t>Annual Availability Payments In Operational Period - 2019</t>
  </si>
  <si>
    <t>Annual Availability Payments In Operational Period - 2020</t>
  </si>
  <si>
    <t>Annual Availability Payments In Operational Period - 2021</t>
  </si>
  <si>
    <t>Annual Availability Payments In Operational Period - 2022</t>
  </si>
  <si>
    <t>Annual Availability Payments In Operational Period  -2023</t>
  </si>
  <si>
    <t>Annual Availability Payments In Operational Period  -2024</t>
  </si>
  <si>
    <t>Design, build, financing, maintenance and facilities management of 7 fire station buildings</t>
  </si>
  <si>
    <t>Design, financing, construction and facility management of 14 school buildings in the region of Attica</t>
  </si>
  <si>
    <t>Design, financing, construction and facility management of 10 school buildings in the region of Attica</t>
  </si>
  <si>
    <t>Under Contract</t>
  </si>
  <si>
    <t>Actual payments</t>
  </si>
  <si>
    <r>
      <t xml:space="preserve">Savings </t>
    </r>
    <r>
      <rPr>
        <i/>
        <sz val="11"/>
        <color indexed="8"/>
        <rFont val="Calibri"/>
        <family val="2"/>
        <charset val="161"/>
      </rPr>
      <t>(due to late delivery/performance deductions)</t>
    </r>
  </si>
  <si>
    <t xml:space="preserve">Fire Brigades Partnership S.A. (Gantzoulas S.A. 100%) </t>
  </si>
  <si>
    <t>NO</t>
  </si>
  <si>
    <t>Guarantee to creditors on partner's borrowing</t>
  </si>
  <si>
    <t>Guarantee to partner on debt repayment</t>
  </si>
  <si>
    <t>Guarantee to partner on minimum return on equity</t>
  </si>
  <si>
    <t>Guarantee to partner on minimum revenue level</t>
  </si>
  <si>
    <t>Government commitment that it will repay the debt of the partner if the latter has not sufficient resources for that (or in the event of problems with short-term liquidity)</t>
  </si>
  <si>
    <t>Guarantee against the impact of an increase in prices  of production factors</t>
  </si>
  <si>
    <t>Guarantee against unforeseen technical obsolescence</t>
  </si>
  <si>
    <t>Guarantee against unfavourable macro-economic trends</t>
  </si>
  <si>
    <t>Guarantee on cost of refinancing</t>
  </si>
  <si>
    <t xml:space="preserve"> Other type of guarantee (specify in comments)</t>
  </si>
  <si>
    <t>Amendments to the signed contract</t>
  </si>
  <si>
    <t xml:space="preserve"> NO</t>
  </si>
  <si>
    <t>Guarantees/ contingent liabilities</t>
  </si>
  <si>
    <t>Implementation of an Integrated Automatic Fare Collection System in the Athens urban transportation</t>
  </si>
  <si>
    <t xml:space="preserve">12 years (10 years, 2 years construction) </t>
  </si>
  <si>
    <t>Hellas Smarticket S.A. ( TERNA ENERGY - LG CNS)</t>
  </si>
  <si>
    <t>EXPORT-IMPORT BANK OF KOREA</t>
  </si>
  <si>
    <t>Broadband development in rural areas of Greece            (Lot 1)</t>
  </si>
  <si>
    <t>Broadband development in rural areas of Greece            (Lot 2)</t>
  </si>
  <si>
    <t>Broadband development in rural areas of Greece            (Lot 3)</t>
  </si>
  <si>
    <t xml:space="preserve">17 years (15 years, 2 years construction) </t>
  </si>
  <si>
    <t>ΟΤΕ RURAL NORTH (OTE S.A.)</t>
  </si>
  <si>
    <t>Information Society SA</t>
  </si>
  <si>
    <t>ΟΤΕ RURAL SOUTH    (OTE S.A.)</t>
  </si>
  <si>
    <t>RURAL CONNECT BROABAND NETWORKS (INTRAKAT - INTRACOM HOLDINGS - HELLAS ON LINE)</t>
  </si>
  <si>
    <t>Annual Availability Payments In Operational Period        (mn euros)</t>
  </si>
  <si>
    <t>Concession</t>
  </si>
  <si>
    <t>Design, financing, construction, maintenance and operation of the facilities for the integrated waste management system in the Region of Western Macedonia</t>
  </si>
  <si>
    <t xml:space="preserve">27 years  (25 years, 2 years construction) </t>
  </si>
  <si>
    <t>EPADYM S.A. (AKTOR Concessions - HELEKTOR)</t>
  </si>
  <si>
    <t>DIADYMA SA</t>
  </si>
  <si>
    <t xml:space="preserve">EIB – Investment Bank of Greece (JESSICA) </t>
  </si>
  <si>
    <t>Digital recording, archiving and provision of court minutes at district courts, courts of appeal and local courts of the country</t>
  </si>
  <si>
    <t>Profile Digital Services S.A. (Profile Systems and Software</t>
  </si>
  <si>
    <t>Ministry Of Justice, Transparency and Human Rights</t>
  </si>
  <si>
    <t xml:space="preserve">5 years and 9 months (5 years, 9 months construction) </t>
  </si>
</sst>
</file>

<file path=xl/styles.xml><?xml version="1.0" encoding="utf-8"?>
<styleSheet xmlns="http://schemas.openxmlformats.org/spreadsheetml/2006/main">
  <numFmts count="4">
    <numFmt numFmtId="44" formatCode="_-* #,##0.00\ &quot;€&quot;_-;\-* #,##0.00\ &quot;€&quot;_-;_-* &quot;-&quot;??\ &quot;€&quot;_-;_-@_-"/>
    <numFmt numFmtId="164" formatCode="0.0"/>
    <numFmt numFmtId="165" formatCode="0.00000"/>
    <numFmt numFmtId="166" formatCode="#,##0.0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  <charset val="161"/>
    </font>
    <font>
      <b/>
      <sz val="14"/>
      <color indexed="56"/>
      <name val="Calibri"/>
      <family val="2"/>
      <charset val="161"/>
    </font>
    <font>
      <sz val="9"/>
      <color indexed="9"/>
      <name val="Calibri"/>
      <family val="2"/>
    </font>
    <font>
      <sz val="10"/>
      <name val="Arial"/>
      <family val="2"/>
      <charset val="16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/>
  </cellStyleXfs>
  <cellXfs count="71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17" fontId="0" fillId="2" borderId="1" xfId="0" applyNumberFormat="1" applyFill="1" applyBorder="1" applyAlignment="1">
      <alignment horizontal="center" vertical="center" wrapText="1"/>
    </xf>
    <xf numFmtId="17" fontId="0" fillId="3" borderId="1" xfId="0" applyNumberForma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0" borderId="0" xfId="0" applyFont="1"/>
    <xf numFmtId="0" fontId="0" fillId="3" borderId="3" xfId="0" applyFill="1" applyBorder="1" applyAlignment="1">
      <alignment horizontal="center" vertical="center" wrapText="1"/>
    </xf>
    <xf numFmtId="164" fontId="0" fillId="3" borderId="3" xfId="0" applyNumberForma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64" fontId="0" fillId="2" borderId="7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164" fontId="0" fillId="2" borderId="12" xfId="0" applyNumberForma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164" fontId="0" fillId="2" borderId="13" xfId="0" applyNumberFormat="1" applyFill="1" applyBorder="1" applyAlignment="1">
      <alignment horizontal="center" vertical="center" wrapText="1"/>
    </xf>
    <xf numFmtId="2" fontId="0" fillId="2" borderId="12" xfId="0" applyNumberForma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2" fontId="0" fillId="2" borderId="7" xfId="0" applyNumberForma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165" fontId="0" fillId="3" borderId="10" xfId="0" applyNumberForma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4" borderId="21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left" vertical="center" wrapText="1"/>
    </xf>
    <xf numFmtId="0" fontId="0" fillId="3" borderId="22" xfId="0" applyFill="1" applyBorder="1" applyAlignment="1">
      <alignment horizontal="left" vertical="center" wrapText="1"/>
    </xf>
    <xf numFmtId="0" fontId="0" fillId="3" borderId="23" xfId="0" applyFill="1" applyBorder="1" applyAlignment="1">
      <alignment horizontal="left" vertical="center" wrapText="1"/>
    </xf>
    <xf numFmtId="0" fontId="5" fillId="6" borderId="6" xfId="0" applyFont="1" applyFill="1" applyBorder="1" applyAlignment="1">
      <alignment horizontal="centerContinuous"/>
    </xf>
    <xf numFmtId="0" fontId="5" fillId="6" borderId="4" xfId="0" applyFont="1" applyFill="1" applyBorder="1" applyAlignment="1">
      <alignment horizontal="centerContinuous"/>
    </xf>
    <xf numFmtId="0" fontId="5" fillId="6" borderId="5" xfId="0" applyFont="1" applyFill="1" applyBorder="1" applyAlignment="1">
      <alignment horizontal="centerContinuous"/>
    </xf>
    <xf numFmtId="0" fontId="6" fillId="4" borderId="21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left" vertical="center" wrapText="1"/>
    </xf>
    <xf numFmtId="17" fontId="0" fillId="3" borderId="3" xfId="0" applyNumberFormat="1" applyFill="1" applyBorder="1" applyAlignment="1">
      <alignment horizontal="center" vertical="center" wrapText="1"/>
    </xf>
    <xf numFmtId="0" fontId="0" fillId="2" borderId="20" xfId="0" applyFill="1" applyBorder="1"/>
    <xf numFmtId="0" fontId="0" fillId="3" borderId="24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164" fontId="0" fillId="2" borderId="26" xfId="0" applyNumberFormat="1" applyFill="1" applyBorder="1" applyAlignment="1">
      <alignment horizontal="center" vertical="center" wrapText="1"/>
    </xf>
    <xf numFmtId="0" fontId="0" fillId="2" borderId="27" xfId="0" applyFill="1" applyBorder="1"/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2" borderId="27" xfId="0" applyNumberFormat="1" applyFill="1" applyBorder="1" applyAlignment="1">
      <alignment horizontal="center" vertical="center"/>
    </xf>
    <xf numFmtId="164" fontId="0" fillId="0" borderId="0" xfId="0" applyNumberFormat="1"/>
    <xf numFmtId="9" fontId="0" fillId="0" borderId="0" xfId="2" applyNumberFormat="1" applyFont="1"/>
    <xf numFmtId="9" fontId="0" fillId="0" borderId="0" xfId="0" applyNumberFormat="1"/>
    <xf numFmtId="0" fontId="0" fillId="0" borderId="29" xfId="0" applyBorder="1"/>
    <xf numFmtId="0" fontId="0" fillId="0" borderId="14" xfId="0" applyBorder="1"/>
    <xf numFmtId="0" fontId="0" fillId="2" borderId="30" xfId="0" applyFill="1" applyBorder="1"/>
    <xf numFmtId="166" fontId="0" fillId="3" borderId="1" xfId="0" applyNumberFormat="1" applyFill="1" applyBorder="1" applyAlignment="1">
      <alignment horizontal="center" vertical="center" wrapText="1"/>
    </xf>
    <xf numFmtId="164" fontId="0" fillId="2" borderId="7" xfId="0" applyNumberForma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164" fontId="0" fillId="3" borderId="8" xfId="0" applyNumberFormat="1" applyFill="1" applyBorder="1" applyAlignment="1">
      <alignment horizontal="center" vertical="center" wrapText="1"/>
    </xf>
    <xf numFmtId="164" fontId="0" fillId="3" borderId="28" xfId="0" applyNumberFormat="1" applyFill="1" applyBorder="1" applyAlignment="1">
      <alignment horizontal="center" vertical="center" wrapText="1"/>
    </xf>
    <xf numFmtId="164" fontId="0" fillId="3" borderId="9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</cellXfs>
  <cellStyles count="4">
    <cellStyle name="Euro" xfId="1"/>
    <cellStyle name="Normal 3 5" xfId="3"/>
    <cellStyle name="Κανονικό" xfId="0" builtinId="0"/>
    <cellStyle name="Ποσοστό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N31"/>
  <sheetViews>
    <sheetView tabSelected="1" topLeftCell="A7" zoomScale="70" zoomScaleNormal="70" workbookViewId="0">
      <selection activeCell="E14" sqref="E14"/>
    </sheetView>
  </sheetViews>
  <sheetFormatPr defaultRowHeight="15"/>
  <cols>
    <col min="1" max="1" width="2.7109375" customWidth="1"/>
    <col min="2" max="2" width="20" customWidth="1"/>
    <col min="3" max="3" width="13.42578125" customWidth="1"/>
    <col min="4" max="4" width="10.5703125" customWidth="1"/>
    <col min="5" max="5" width="11.28515625" customWidth="1"/>
    <col min="6" max="6" width="10.28515625" customWidth="1"/>
    <col min="7" max="7" width="15.28515625" customWidth="1"/>
    <col min="8" max="8" width="14.140625" customWidth="1"/>
    <col min="9" max="12" width="12.42578125" customWidth="1"/>
    <col min="13" max="13" width="12.5703125" customWidth="1"/>
    <col min="14" max="14" width="14.140625" customWidth="1"/>
    <col min="15" max="15" width="10.5703125" customWidth="1"/>
    <col min="16" max="16" width="14.42578125" customWidth="1"/>
    <col min="17" max="17" width="12.85546875" customWidth="1"/>
    <col min="18" max="18" width="13.85546875" customWidth="1"/>
    <col min="19" max="19" width="12.28515625" customWidth="1"/>
    <col min="20" max="20" width="13" customWidth="1"/>
    <col min="21" max="21" width="11.140625" customWidth="1"/>
    <col min="22" max="22" width="13" customWidth="1"/>
    <col min="23" max="24" width="12.140625" customWidth="1"/>
    <col min="25" max="25" width="15" customWidth="1"/>
    <col min="26" max="26" width="20" customWidth="1"/>
    <col min="27" max="27" width="12" customWidth="1"/>
    <col min="28" max="28" width="14.5703125" customWidth="1"/>
    <col min="29" max="29" width="12.140625" customWidth="1"/>
    <col min="30" max="30" width="12.28515625" customWidth="1"/>
    <col min="31" max="40" width="12" customWidth="1"/>
  </cols>
  <sheetData>
    <row r="1" spans="2:36" s="12" customFormat="1" ht="105">
      <c r="B1" s="10" t="s">
        <v>0</v>
      </c>
      <c r="C1" s="10" t="s">
        <v>1</v>
      </c>
      <c r="D1" s="10" t="s">
        <v>2</v>
      </c>
      <c r="E1" s="10" t="s">
        <v>3</v>
      </c>
      <c r="F1" s="10" t="s">
        <v>21</v>
      </c>
      <c r="G1" s="10" t="s">
        <v>15</v>
      </c>
      <c r="H1" s="11" t="s">
        <v>34</v>
      </c>
      <c r="I1" s="10" t="s">
        <v>42</v>
      </c>
      <c r="J1" s="10" t="s">
        <v>26</v>
      </c>
      <c r="K1" s="10" t="s">
        <v>27</v>
      </c>
      <c r="L1" s="10" t="s">
        <v>28</v>
      </c>
      <c r="M1" s="10" t="s">
        <v>29</v>
      </c>
      <c r="N1" s="10" t="s">
        <v>17</v>
      </c>
      <c r="O1" s="10" t="s">
        <v>4</v>
      </c>
      <c r="P1" s="10" t="s">
        <v>5</v>
      </c>
      <c r="Q1" s="10" t="s">
        <v>6</v>
      </c>
      <c r="R1" s="10" t="s">
        <v>22</v>
      </c>
      <c r="S1" s="10" t="s">
        <v>91</v>
      </c>
      <c r="T1" s="10"/>
      <c r="U1" s="10" t="s">
        <v>44</v>
      </c>
      <c r="V1" s="10" t="s">
        <v>45</v>
      </c>
      <c r="W1" s="10" t="s">
        <v>46</v>
      </c>
      <c r="X1" s="27" t="s">
        <v>47</v>
      </c>
      <c r="Y1" s="10" t="s">
        <v>48</v>
      </c>
      <c r="Z1" s="10"/>
      <c r="AA1" s="30"/>
      <c r="AB1" s="10" t="s">
        <v>49</v>
      </c>
      <c r="AC1" s="10" t="s">
        <v>50</v>
      </c>
      <c r="AD1" s="10" t="s">
        <v>51</v>
      </c>
      <c r="AE1" s="10" t="s">
        <v>52</v>
      </c>
      <c r="AF1" s="10" t="s">
        <v>53</v>
      </c>
      <c r="AG1" s="10" t="s">
        <v>54</v>
      </c>
      <c r="AH1" s="10" t="s">
        <v>55</v>
      </c>
      <c r="AI1" s="10" t="s">
        <v>56</v>
      </c>
      <c r="AJ1" s="10" t="s">
        <v>57</v>
      </c>
    </row>
    <row r="2" spans="2:36" ht="90">
      <c r="B2" s="3" t="s">
        <v>58</v>
      </c>
      <c r="C2" s="1" t="s">
        <v>25</v>
      </c>
      <c r="D2" s="5">
        <v>39904</v>
      </c>
      <c r="E2" s="5">
        <v>40634</v>
      </c>
      <c r="F2" s="5" t="s">
        <v>38</v>
      </c>
      <c r="G2" s="1" t="s">
        <v>16</v>
      </c>
      <c r="H2" s="1" t="s">
        <v>39</v>
      </c>
      <c r="I2" s="1">
        <f t="shared" ref="I2:I8" si="0">SUM(J2:M2)</f>
        <v>25.900000000000002</v>
      </c>
      <c r="J2" s="1">
        <v>18.8</v>
      </c>
      <c r="K2" s="1">
        <v>3.3</v>
      </c>
      <c r="L2" s="1">
        <v>3.8</v>
      </c>
      <c r="M2" s="1" t="s">
        <v>9</v>
      </c>
      <c r="N2" s="1" t="s">
        <v>9</v>
      </c>
      <c r="O2" s="1" t="s">
        <v>14</v>
      </c>
      <c r="P2" s="1" t="s">
        <v>64</v>
      </c>
      <c r="Q2" s="1" t="s">
        <v>10</v>
      </c>
      <c r="R2" s="1" t="s">
        <v>24</v>
      </c>
      <c r="S2" s="1">
        <v>2.6</v>
      </c>
      <c r="T2" s="1" t="s">
        <v>61</v>
      </c>
      <c r="U2" s="25">
        <f>1952122.75/1000000</f>
        <v>1.95212275</v>
      </c>
      <c r="V2" s="7">
        <f>2797980.84/1000000</f>
        <v>2.7979808399999997</v>
      </c>
      <c r="W2" s="7">
        <f>2812399.32/1000000</f>
        <v>2.8123993199999999</v>
      </c>
      <c r="X2" s="7">
        <f>2769817.92/1000000</f>
        <v>2.7698179199999999</v>
      </c>
      <c r="Y2" s="7">
        <f>2731204/1000000</f>
        <v>2.731204</v>
      </c>
      <c r="Z2" s="1"/>
      <c r="AA2" s="17"/>
      <c r="AB2" s="1">
        <v>2.8</v>
      </c>
      <c r="AC2" s="1">
        <v>2.8</v>
      </c>
      <c r="AD2" s="1">
        <v>2.8</v>
      </c>
      <c r="AE2" s="1">
        <v>2.9</v>
      </c>
      <c r="AF2" s="1">
        <v>2.9</v>
      </c>
      <c r="AG2" s="1">
        <v>2.9</v>
      </c>
      <c r="AH2" s="1">
        <v>3</v>
      </c>
      <c r="AI2" s="1">
        <v>3</v>
      </c>
      <c r="AJ2" s="1">
        <v>3</v>
      </c>
    </row>
    <row r="3" spans="2:36" ht="33.75" customHeight="1" thickBot="1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5" t="s">
        <v>62</v>
      </c>
      <c r="U3" s="26">
        <f>11000/1000000</f>
        <v>1.0999999999999999E-2</v>
      </c>
      <c r="V3" s="16">
        <f>159423.04/1000000</f>
        <v>0.15942304000000002</v>
      </c>
      <c r="W3" s="16">
        <f>1735492.35/1000000</f>
        <v>1.7354923500000001</v>
      </c>
      <c r="X3" s="16">
        <f>2217095.92/1000000</f>
        <v>2.2170959199999998</v>
      </c>
      <c r="Y3" s="7">
        <f>1898843/1000000</f>
        <v>1.8988430000000001</v>
      </c>
      <c r="Z3" s="15" t="s">
        <v>19</v>
      </c>
      <c r="AA3" s="49">
        <f>SUM(U3:Y3)</f>
        <v>6.0218543100000002</v>
      </c>
      <c r="AB3" s="1"/>
      <c r="AC3" s="1"/>
      <c r="AD3" s="1"/>
      <c r="AE3" s="1"/>
      <c r="AF3" s="1"/>
      <c r="AG3" s="1"/>
      <c r="AH3" s="1"/>
      <c r="AI3" s="1"/>
      <c r="AJ3" s="1"/>
    </row>
    <row r="4" spans="2:36" ht="59.25" customHeight="1" thickBot="1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7"/>
      <c r="T4" s="20" t="s">
        <v>63</v>
      </c>
      <c r="U4" s="24">
        <f>U2-U3</f>
        <v>1.9411227500000001</v>
      </c>
      <c r="V4" s="21">
        <f>V2-V3</f>
        <v>2.6385577999999996</v>
      </c>
      <c r="W4" s="21">
        <f>W2-W3</f>
        <v>1.0769069699999998</v>
      </c>
      <c r="X4" s="21">
        <f>X2-X3</f>
        <v>0.55272200000000016</v>
      </c>
      <c r="Y4" s="21">
        <f>Y2-Y3</f>
        <v>0.83236099999999991</v>
      </c>
      <c r="Z4" s="22" t="s">
        <v>20</v>
      </c>
      <c r="AA4" s="23">
        <f>SUM(U4:Y4)</f>
        <v>7.0416705199999994</v>
      </c>
      <c r="AB4" s="1"/>
      <c r="AC4" s="1"/>
      <c r="AD4" s="1"/>
      <c r="AE4" s="1"/>
      <c r="AF4" s="1"/>
      <c r="AG4" s="1"/>
      <c r="AH4" s="1"/>
      <c r="AI4" s="1"/>
      <c r="AJ4" s="1"/>
    </row>
    <row r="5" spans="2:36" ht="90">
      <c r="B5" s="4" t="s">
        <v>59</v>
      </c>
      <c r="C5" s="2" t="s">
        <v>8</v>
      </c>
      <c r="D5" s="6">
        <v>41730</v>
      </c>
      <c r="E5" s="6">
        <v>42461</v>
      </c>
      <c r="F5" s="2" t="s">
        <v>9</v>
      </c>
      <c r="G5" s="2" t="s">
        <v>16</v>
      </c>
      <c r="H5" s="2" t="s">
        <v>39</v>
      </c>
      <c r="I5" s="8">
        <f t="shared" si="0"/>
        <v>58</v>
      </c>
      <c r="J5" s="2">
        <v>38.200000000000003</v>
      </c>
      <c r="K5" s="2">
        <v>10.1</v>
      </c>
      <c r="L5" s="2">
        <v>9.6999999999999993</v>
      </c>
      <c r="M5" s="2" t="s">
        <v>9</v>
      </c>
      <c r="N5" s="2" t="s">
        <v>9</v>
      </c>
      <c r="O5" s="2" t="s">
        <v>30</v>
      </c>
      <c r="P5" s="2" t="s">
        <v>31</v>
      </c>
      <c r="Q5" s="2" t="s">
        <v>11</v>
      </c>
      <c r="R5" s="2" t="s">
        <v>24</v>
      </c>
      <c r="S5" s="2">
        <v>6.8</v>
      </c>
      <c r="T5" s="19" t="s">
        <v>9</v>
      </c>
      <c r="U5" s="19" t="s">
        <v>9</v>
      </c>
      <c r="V5" s="31"/>
      <c r="W5" s="31"/>
      <c r="X5" s="31"/>
      <c r="Y5" s="2" t="s">
        <v>9</v>
      </c>
      <c r="Z5" s="19" t="s">
        <v>9</v>
      </c>
      <c r="AA5" s="47" t="s">
        <v>9</v>
      </c>
      <c r="AB5" s="8">
        <f>5251750.60849522/1000000</f>
        <v>5.2517506084952199</v>
      </c>
      <c r="AC5" s="8">
        <f>7294811.95316518/1000000</f>
        <v>7.2948119531651798</v>
      </c>
      <c r="AD5" s="8">
        <f>7357305.98862848/1000000</f>
        <v>7.3573059886284797</v>
      </c>
      <c r="AE5" s="8">
        <f>7421049.90480105/1000000</f>
        <v>7.4210499048010501</v>
      </c>
      <c r="AF5" s="8">
        <f>7506578.47655542/1000000</f>
        <v>7.5065784765554202</v>
      </c>
      <c r="AG5" s="8">
        <f>7552387.86968301/1000000</f>
        <v>7.5523878696830096</v>
      </c>
      <c r="AH5" s="8">
        <f>7620033.42347667/1000000</f>
        <v>7.62003342347667</v>
      </c>
      <c r="AI5" s="8">
        <f>7689031.8883462/1000000</f>
        <v>7.6890318883462001</v>
      </c>
      <c r="AJ5" s="8">
        <f>7780668.98093097/1000000</f>
        <v>7.7806689809309697</v>
      </c>
    </row>
    <row r="6" spans="2:36" ht="105">
      <c r="B6" s="3" t="s">
        <v>60</v>
      </c>
      <c r="C6" s="1" t="s">
        <v>8</v>
      </c>
      <c r="D6" s="5">
        <v>41760</v>
      </c>
      <c r="E6" s="5">
        <v>42491</v>
      </c>
      <c r="F6" s="1" t="s">
        <v>9</v>
      </c>
      <c r="G6" s="1" t="s">
        <v>16</v>
      </c>
      <c r="H6" s="1" t="s">
        <v>39</v>
      </c>
      <c r="I6" s="1">
        <f t="shared" si="0"/>
        <v>52</v>
      </c>
      <c r="J6" s="1">
        <v>33.4</v>
      </c>
      <c r="K6" s="1">
        <v>9.9</v>
      </c>
      <c r="L6" s="1">
        <v>8.6999999999999993</v>
      </c>
      <c r="M6" s="1" t="s">
        <v>9</v>
      </c>
      <c r="N6" s="1" t="s">
        <v>9</v>
      </c>
      <c r="O6" s="1" t="s">
        <v>30</v>
      </c>
      <c r="P6" s="1" t="s">
        <v>32</v>
      </c>
      <c r="Q6" s="1" t="s">
        <v>11</v>
      </c>
      <c r="R6" s="1" t="s">
        <v>24</v>
      </c>
      <c r="S6" s="1">
        <v>5.9</v>
      </c>
      <c r="T6" s="1" t="s">
        <v>9</v>
      </c>
      <c r="U6" s="1" t="s">
        <v>9</v>
      </c>
      <c r="V6" s="1" t="s">
        <v>9</v>
      </c>
      <c r="W6" s="1" t="s">
        <v>9</v>
      </c>
      <c r="X6" s="1"/>
      <c r="Y6" s="1" t="s">
        <v>9</v>
      </c>
      <c r="Z6" s="1" t="s">
        <v>9</v>
      </c>
      <c r="AA6" s="17" t="s">
        <v>9</v>
      </c>
      <c r="AB6" s="7">
        <f>4057090.22426736/1000000</f>
        <v>4.0570902242673599</v>
      </c>
      <c r="AC6" s="7">
        <f>6301184.56217189/1000000</f>
        <v>6.3011845621718905</v>
      </c>
      <c r="AD6" s="7">
        <f>6355166.27341532/1000000</f>
        <v>6.3551662734153194</v>
      </c>
      <c r="AE6" s="7">
        <f>6410227.61888363/1000000</f>
        <v>6.4102276188836305</v>
      </c>
      <c r="AF6" s="7">
        <f>6484106.32877161/1000000</f>
        <v>6.4841063287716096</v>
      </c>
      <c r="AG6" s="7">
        <f>6523676.01508653/1000000</f>
        <v>6.5236760150865294</v>
      </c>
      <c r="AH6" s="7">
        <f>6582107.55538826/1000000</f>
        <v>6.5821075553882595</v>
      </c>
      <c r="AI6" s="7">
        <f>6641707.72649602/1000000</f>
        <v>6.64170772649602</v>
      </c>
      <c r="AJ6" s="7">
        <f>6720862.91445341/1000000</f>
        <v>6.7208629144534093</v>
      </c>
    </row>
    <row r="7" spans="2:36" ht="135">
      <c r="B7" s="44" t="s">
        <v>7</v>
      </c>
      <c r="C7" s="13" t="s">
        <v>12</v>
      </c>
      <c r="D7" s="45">
        <v>41820</v>
      </c>
      <c r="E7" s="45">
        <v>42370</v>
      </c>
      <c r="F7" s="13" t="s">
        <v>9</v>
      </c>
      <c r="G7" s="13" t="s">
        <v>16</v>
      </c>
      <c r="H7" s="13" t="s">
        <v>39</v>
      </c>
      <c r="I7" s="8">
        <f t="shared" si="0"/>
        <v>19.400000000000002</v>
      </c>
      <c r="J7" s="13">
        <v>6.7</v>
      </c>
      <c r="K7" s="13">
        <v>5.9</v>
      </c>
      <c r="L7" s="13">
        <v>1.5</v>
      </c>
      <c r="M7" s="13">
        <v>5.3</v>
      </c>
      <c r="N7" s="13" t="s">
        <v>18</v>
      </c>
      <c r="O7" s="13" t="s">
        <v>37</v>
      </c>
      <c r="P7" s="13" t="s">
        <v>33</v>
      </c>
      <c r="Q7" s="13" t="s">
        <v>13</v>
      </c>
      <c r="R7" s="13" t="s">
        <v>23</v>
      </c>
      <c r="S7" s="13">
        <v>4.3</v>
      </c>
      <c r="T7" s="13" t="s">
        <v>9</v>
      </c>
      <c r="U7" s="13" t="s">
        <v>9</v>
      </c>
      <c r="V7" s="13" t="s">
        <v>9</v>
      </c>
      <c r="W7" s="13" t="s">
        <v>9</v>
      </c>
      <c r="X7" s="13"/>
      <c r="Y7" s="13" t="s">
        <v>9</v>
      </c>
      <c r="Z7" s="13" t="s">
        <v>9</v>
      </c>
      <c r="AA7" s="48" t="s">
        <v>9</v>
      </c>
      <c r="AB7" s="14">
        <f>4463475.745344/1000000</f>
        <v>4.4634757453439997</v>
      </c>
      <c r="AC7" s="14">
        <f>4500893.26025088/1000000</f>
        <v>4.50089326025088</v>
      </c>
      <c r="AD7" s="14">
        <f>4539059.1254559/1000000</f>
        <v>4.5390591254558998</v>
      </c>
      <c r="AE7" s="14">
        <f>4577988.30796502/1000000</f>
        <v>4.5779883079650201</v>
      </c>
      <c r="AF7" s="14">
        <f>4617696.07412432/1000000</f>
        <v>4.6176960741243205</v>
      </c>
      <c r="AG7" s="14">
        <f>4658197.9956068/1000000</f>
        <v>4.6581979956068</v>
      </c>
      <c r="AH7" s="14">
        <f>4699509.95551894/1000000</f>
        <v>4.6995099555189404</v>
      </c>
      <c r="AI7" s="14">
        <f>4741648.15462932/1000000</f>
        <v>4.7416481546293197</v>
      </c>
      <c r="AJ7" s="14">
        <f>4784629.1177219/1000000</f>
        <v>4.7846291177219005</v>
      </c>
    </row>
    <row r="8" spans="2:36" ht="93.75" customHeight="1">
      <c r="B8" s="3" t="s">
        <v>79</v>
      </c>
      <c r="C8" s="3" t="s">
        <v>80</v>
      </c>
      <c r="D8" s="5">
        <v>42002</v>
      </c>
      <c r="E8" s="5">
        <v>42733</v>
      </c>
      <c r="F8" s="1" t="s">
        <v>9</v>
      </c>
      <c r="G8" s="1" t="s">
        <v>36</v>
      </c>
      <c r="H8" s="1" t="s">
        <v>39</v>
      </c>
      <c r="I8" s="1">
        <f t="shared" si="0"/>
        <v>69.8</v>
      </c>
      <c r="J8" s="1">
        <v>28</v>
      </c>
      <c r="K8" s="1">
        <v>7</v>
      </c>
      <c r="L8" s="1">
        <v>6</v>
      </c>
      <c r="M8" s="1">
        <v>28.8</v>
      </c>
      <c r="N8" s="1" t="s">
        <v>18</v>
      </c>
      <c r="O8" s="1" t="s">
        <v>82</v>
      </c>
      <c r="P8" s="1" t="s">
        <v>81</v>
      </c>
      <c r="Q8" s="1" t="s">
        <v>13</v>
      </c>
      <c r="R8" s="1" t="s">
        <v>23</v>
      </c>
      <c r="S8" s="1">
        <v>13.2</v>
      </c>
      <c r="T8" s="1" t="s">
        <v>9</v>
      </c>
      <c r="U8" s="1" t="s">
        <v>9</v>
      </c>
      <c r="V8" s="1" t="s">
        <v>9</v>
      </c>
      <c r="W8" s="1" t="s">
        <v>9</v>
      </c>
      <c r="X8" s="1"/>
      <c r="Y8" s="1" t="s">
        <v>9</v>
      </c>
      <c r="Z8" s="1" t="s">
        <v>9</v>
      </c>
      <c r="AA8" s="17" t="s">
        <v>9</v>
      </c>
      <c r="AB8" s="7" t="s">
        <v>9</v>
      </c>
      <c r="AC8" s="7">
        <f>13520999.1078616/1000000</f>
        <v>13.5209991078616</v>
      </c>
      <c r="AD8" s="7">
        <f>13633044.6146791/1000000</f>
        <v>13.6330446146791</v>
      </c>
      <c r="AE8" s="7">
        <f>13747331.031633/1000000</f>
        <v>13.747331031633001</v>
      </c>
      <c r="AF8" s="7">
        <f>13863903.176926/1000000</f>
        <v>13.863903176926</v>
      </c>
      <c r="AG8" s="7">
        <f>13982806.7651248/1000000</f>
        <v>13.982806765124799</v>
      </c>
      <c r="AH8" s="7">
        <f>14104088.4250876/1000000</f>
        <v>14.1040884250876</v>
      </c>
      <c r="AI8" s="7">
        <f>14227795.7182496/1000000</f>
        <v>14.227795718249601</v>
      </c>
      <c r="AJ8" s="7">
        <f>14353977.1572749/1000000</f>
        <v>14.353977157274899</v>
      </c>
    </row>
    <row r="9" spans="2:36" ht="74.25" customHeight="1">
      <c r="B9" s="13" t="s">
        <v>83</v>
      </c>
      <c r="C9" s="45" t="s">
        <v>86</v>
      </c>
      <c r="D9" s="45">
        <v>42002</v>
      </c>
      <c r="E9" s="45">
        <v>42733</v>
      </c>
      <c r="F9" s="2" t="s">
        <v>9</v>
      </c>
      <c r="G9" s="2" t="s">
        <v>36</v>
      </c>
      <c r="H9" s="2" t="s">
        <v>92</v>
      </c>
      <c r="I9" s="8">
        <f t="shared" ref="I9:I12" si="1">SUM(J9:M9)</f>
        <v>68.8</v>
      </c>
      <c r="J9" s="65">
        <v>24.4</v>
      </c>
      <c r="K9" s="66"/>
      <c r="L9" s="67"/>
      <c r="M9" s="2">
        <v>44.4</v>
      </c>
      <c r="N9" s="13" t="s">
        <v>18</v>
      </c>
      <c r="O9" s="13" t="s">
        <v>9</v>
      </c>
      <c r="P9" s="13" t="s">
        <v>87</v>
      </c>
      <c r="Q9" s="13" t="s">
        <v>9</v>
      </c>
      <c r="R9" s="2" t="s">
        <v>88</v>
      </c>
      <c r="S9" s="13" t="s">
        <v>9</v>
      </c>
      <c r="T9" s="13" t="s">
        <v>9</v>
      </c>
      <c r="U9" s="13" t="s">
        <v>9</v>
      </c>
      <c r="V9" s="13" t="s">
        <v>9</v>
      </c>
      <c r="W9" s="13" t="s">
        <v>9</v>
      </c>
      <c r="X9" s="13"/>
      <c r="Y9" s="28" t="s">
        <v>9</v>
      </c>
      <c r="Z9" s="13" t="s">
        <v>9</v>
      </c>
      <c r="AA9" s="13" t="s">
        <v>9</v>
      </c>
      <c r="AB9" s="28" t="s">
        <v>9</v>
      </c>
      <c r="AC9" s="28" t="s">
        <v>9</v>
      </c>
      <c r="AD9" s="28" t="s">
        <v>9</v>
      </c>
      <c r="AE9" s="28" t="s">
        <v>9</v>
      </c>
      <c r="AF9" s="28" t="s">
        <v>9</v>
      </c>
      <c r="AG9" s="28" t="s">
        <v>9</v>
      </c>
      <c r="AH9" s="28" t="s">
        <v>9</v>
      </c>
      <c r="AI9" s="28" t="s">
        <v>9</v>
      </c>
      <c r="AJ9" s="28" t="s">
        <v>9</v>
      </c>
    </row>
    <row r="10" spans="2:36" ht="159" customHeight="1">
      <c r="B10" s="1" t="s">
        <v>84</v>
      </c>
      <c r="C10" s="3" t="s">
        <v>86</v>
      </c>
      <c r="D10" s="5">
        <v>42002</v>
      </c>
      <c r="E10" s="5">
        <v>42733</v>
      </c>
      <c r="F10" s="1" t="s">
        <v>9</v>
      </c>
      <c r="G10" s="1" t="s">
        <v>36</v>
      </c>
      <c r="H10" s="1" t="s">
        <v>92</v>
      </c>
      <c r="I10" s="1">
        <f t="shared" si="1"/>
        <v>100</v>
      </c>
      <c r="J10" s="68">
        <v>40.700000000000003</v>
      </c>
      <c r="K10" s="69"/>
      <c r="L10" s="70"/>
      <c r="M10" s="1">
        <v>59.3</v>
      </c>
      <c r="N10" s="1" t="s">
        <v>18</v>
      </c>
      <c r="O10" s="1" t="s">
        <v>13</v>
      </c>
      <c r="P10" s="1" t="s">
        <v>90</v>
      </c>
      <c r="Q10" s="1" t="s">
        <v>13</v>
      </c>
      <c r="R10" s="1" t="s">
        <v>88</v>
      </c>
      <c r="S10" s="1" t="s">
        <v>9</v>
      </c>
      <c r="T10" s="1" t="s">
        <v>9</v>
      </c>
      <c r="U10" s="1" t="s">
        <v>9</v>
      </c>
      <c r="V10" s="1" t="s">
        <v>9</v>
      </c>
      <c r="W10" s="1" t="s">
        <v>9</v>
      </c>
      <c r="X10" s="1"/>
      <c r="Y10" s="18" t="s">
        <v>9</v>
      </c>
      <c r="Z10" s="1" t="s">
        <v>9</v>
      </c>
      <c r="AA10" s="1" t="s">
        <v>9</v>
      </c>
      <c r="AB10" s="18" t="s">
        <v>9</v>
      </c>
      <c r="AC10" s="18" t="s">
        <v>9</v>
      </c>
      <c r="AD10" s="18" t="s">
        <v>9</v>
      </c>
      <c r="AE10" s="18" t="s">
        <v>9</v>
      </c>
      <c r="AF10" s="18" t="s">
        <v>9</v>
      </c>
      <c r="AG10" s="18" t="s">
        <v>9</v>
      </c>
      <c r="AH10" s="18" t="s">
        <v>9</v>
      </c>
      <c r="AI10" s="18" t="s">
        <v>9</v>
      </c>
      <c r="AJ10" s="18" t="s">
        <v>9</v>
      </c>
    </row>
    <row r="11" spans="2:36" ht="74.25" customHeight="1">
      <c r="B11" s="2" t="s">
        <v>85</v>
      </c>
      <c r="C11" s="6" t="s">
        <v>86</v>
      </c>
      <c r="D11" s="6">
        <v>42002</v>
      </c>
      <c r="E11" s="6">
        <v>42733</v>
      </c>
      <c r="F11" s="2" t="s">
        <v>9</v>
      </c>
      <c r="G11" s="2" t="s">
        <v>36</v>
      </c>
      <c r="H11" s="2" t="s">
        <v>92</v>
      </c>
      <c r="I11" s="8">
        <f t="shared" si="1"/>
        <v>96</v>
      </c>
      <c r="J11" s="65">
        <v>39.6</v>
      </c>
      <c r="K11" s="66"/>
      <c r="L11" s="67"/>
      <c r="M11" s="13">
        <v>56.4</v>
      </c>
      <c r="N11" s="13" t="s">
        <v>18</v>
      </c>
      <c r="O11" s="13" t="s">
        <v>9</v>
      </c>
      <c r="P11" s="13" t="s">
        <v>89</v>
      </c>
      <c r="Q11" s="2" t="s">
        <v>9</v>
      </c>
      <c r="R11" s="2" t="s">
        <v>88</v>
      </c>
      <c r="S11" s="2" t="s">
        <v>9</v>
      </c>
      <c r="T11" s="13" t="s">
        <v>9</v>
      </c>
      <c r="U11" s="13" t="s">
        <v>9</v>
      </c>
      <c r="V11" s="13" t="s">
        <v>9</v>
      </c>
      <c r="W11" s="13" t="s">
        <v>9</v>
      </c>
      <c r="X11" s="13"/>
      <c r="Y11" s="29" t="s">
        <v>9</v>
      </c>
      <c r="Z11" s="13" t="s">
        <v>9</v>
      </c>
      <c r="AA11" s="13" t="s">
        <v>9</v>
      </c>
      <c r="AB11" s="29" t="s">
        <v>9</v>
      </c>
      <c r="AC11" s="29" t="s">
        <v>9</v>
      </c>
      <c r="AD11" s="29" t="s">
        <v>9</v>
      </c>
      <c r="AE11" s="29" t="s">
        <v>9</v>
      </c>
      <c r="AF11" s="29" t="s">
        <v>9</v>
      </c>
      <c r="AG11" s="29" t="s">
        <v>9</v>
      </c>
      <c r="AH11" s="29" t="s">
        <v>9</v>
      </c>
      <c r="AI11" s="29" t="s">
        <v>9</v>
      </c>
      <c r="AJ11" s="29" t="s">
        <v>9</v>
      </c>
    </row>
    <row r="12" spans="2:36" ht="153" customHeight="1">
      <c r="B12" s="3" t="s">
        <v>93</v>
      </c>
      <c r="C12" s="1" t="s">
        <v>94</v>
      </c>
      <c r="D12" s="5">
        <v>42165</v>
      </c>
      <c r="E12" s="5">
        <v>42887</v>
      </c>
      <c r="F12" s="5" t="s">
        <v>9</v>
      </c>
      <c r="G12" s="1" t="s">
        <v>36</v>
      </c>
      <c r="H12" s="1" t="s">
        <v>39</v>
      </c>
      <c r="I12" s="7">
        <f t="shared" si="1"/>
        <v>49.038000000000004</v>
      </c>
      <c r="J12" s="7">
        <v>25.437000000000001</v>
      </c>
      <c r="K12" s="7">
        <v>18.021999999999998</v>
      </c>
      <c r="L12" s="7">
        <v>5.5789999999999997</v>
      </c>
      <c r="M12" s="1" t="s">
        <v>9</v>
      </c>
      <c r="N12" s="1" t="s">
        <v>9</v>
      </c>
      <c r="O12" s="1" t="s">
        <v>97</v>
      </c>
      <c r="P12" s="1" t="s">
        <v>95</v>
      </c>
      <c r="Q12" s="1" t="s">
        <v>13</v>
      </c>
      <c r="R12" s="1" t="s">
        <v>96</v>
      </c>
      <c r="S12" s="2">
        <v>10.8</v>
      </c>
      <c r="T12" s="2" t="s">
        <v>9</v>
      </c>
      <c r="U12" s="2" t="s">
        <v>9</v>
      </c>
      <c r="V12" s="2" t="s">
        <v>9</v>
      </c>
      <c r="W12" s="2" t="s">
        <v>9</v>
      </c>
      <c r="X12" s="2" t="s">
        <v>9</v>
      </c>
      <c r="Y12" s="2" t="s">
        <v>9</v>
      </c>
      <c r="Z12" s="2" t="s">
        <v>9</v>
      </c>
      <c r="AA12" s="2" t="s">
        <v>9</v>
      </c>
      <c r="AB12" s="2" t="s">
        <v>9</v>
      </c>
      <c r="AC12" s="61">
        <v>6.5979186003426697</v>
      </c>
      <c r="AD12" s="61">
        <v>11.297532773212501</v>
      </c>
      <c r="AE12" s="61">
        <v>11.2487113205878</v>
      </c>
      <c r="AF12" s="61">
        <v>11.180989231878099</v>
      </c>
      <c r="AG12" s="61">
        <v>11.2895010231596</v>
      </c>
      <c r="AH12" s="61">
        <v>11.3284550275632</v>
      </c>
      <c r="AI12" s="61">
        <v>11.380103043641199</v>
      </c>
      <c r="AJ12" s="61">
        <v>11.5104696158393</v>
      </c>
    </row>
    <row r="13" spans="2:36" ht="117" customHeight="1" thickBot="1">
      <c r="B13" s="4" t="s">
        <v>98</v>
      </c>
      <c r="C13" s="2" t="s">
        <v>101</v>
      </c>
      <c r="D13" s="6">
        <v>42367</v>
      </c>
      <c r="E13" s="6">
        <v>42642</v>
      </c>
      <c r="F13" s="2" t="s">
        <v>9</v>
      </c>
      <c r="G13" s="2" t="s">
        <v>36</v>
      </c>
      <c r="H13" s="13" t="s">
        <v>39</v>
      </c>
      <c r="I13" s="14">
        <f t="shared" ref="I13" si="2">SUM(J13:M13)</f>
        <v>6.6749999999999998</v>
      </c>
      <c r="J13" s="8">
        <v>0.32</v>
      </c>
      <c r="K13" s="8">
        <v>0.70599999999999996</v>
      </c>
      <c r="L13" s="2" t="s">
        <v>9</v>
      </c>
      <c r="M13" s="8">
        <v>5.649</v>
      </c>
      <c r="N13" s="2" t="s">
        <v>18</v>
      </c>
      <c r="O13" s="2" t="s">
        <v>9</v>
      </c>
      <c r="P13" s="2" t="s">
        <v>99</v>
      </c>
      <c r="Q13" s="2" t="s">
        <v>9</v>
      </c>
      <c r="R13" s="2" t="s">
        <v>100</v>
      </c>
      <c r="S13" s="8">
        <v>1.63</v>
      </c>
      <c r="T13" s="19" t="s">
        <v>9</v>
      </c>
      <c r="U13" s="19" t="s">
        <v>9</v>
      </c>
      <c r="V13" s="31" t="s">
        <v>9</v>
      </c>
      <c r="W13" s="31" t="s">
        <v>9</v>
      </c>
      <c r="X13" s="31" t="s">
        <v>9</v>
      </c>
      <c r="Y13" s="2" t="s">
        <v>9</v>
      </c>
      <c r="Z13" s="19" t="s">
        <v>9</v>
      </c>
      <c r="AA13" s="47" t="s">
        <v>9</v>
      </c>
      <c r="AB13" s="8">
        <f>376399/1000000</f>
        <v>0.37639899999999998</v>
      </c>
      <c r="AC13" s="8">
        <f>1508657/1000000</f>
        <v>1.5086569999999999</v>
      </c>
      <c r="AD13" s="8">
        <f>1514837/1000000</f>
        <v>1.514837</v>
      </c>
      <c r="AE13" s="8">
        <f>1521140/1000000</f>
        <v>1.5211399999999999</v>
      </c>
      <c r="AF13" s="8">
        <f>1527569/1000000</f>
        <v>1.527569</v>
      </c>
      <c r="AG13" s="8">
        <f>1149767/1000000</f>
        <v>1.149767</v>
      </c>
      <c r="AH13" s="8" t="s">
        <v>9</v>
      </c>
      <c r="AI13" s="8" t="s">
        <v>9</v>
      </c>
      <c r="AJ13" s="8" t="s">
        <v>9</v>
      </c>
    </row>
    <row r="14" spans="2:36" ht="22.5" customHeight="1" thickBot="1">
      <c r="H14" s="20" t="s">
        <v>43</v>
      </c>
      <c r="I14" s="63">
        <f>SUM(I5:I13,I2)</f>
        <v>545.61299999999994</v>
      </c>
      <c r="J14" s="58"/>
      <c r="K14" s="58"/>
      <c r="L14" s="59"/>
      <c r="M14" s="62">
        <f>SUM(M5:M13,M2)</f>
        <v>199.84900000000002</v>
      </c>
      <c r="N14" s="50"/>
      <c r="O14" s="50"/>
      <c r="P14" s="50"/>
      <c r="Q14" s="50"/>
      <c r="R14" s="46"/>
      <c r="S14" s="62">
        <f>SUM(S5:S13,S2)</f>
        <v>45.230000000000004</v>
      </c>
      <c r="T14" s="50"/>
      <c r="U14" s="50"/>
      <c r="V14" s="50"/>
      <c r="W14" s="50"/>
      <c r="X14" s="50"/>
      <c r="Y14" s="54"/>
      <c r="Z14" s="50"/>
      <c r="AA14" s="60"/>
      <c r="AB14" s="54">
        <f t="shared" ref="AB14:AJ14" si="3">SUM(AB5:AB13,AB2)</f>
        <v>16.948715578106579</v>
      </c>
      <c r="AC14" s="54">
        <f t="shared" si="3"/>
        <v>42.524464483792215</v>
      </c>
      <c r="AD14" s="54">
        <f t="shared" si="3"/>
        <v>47.496945775391296</v>
      </c>
      <c r="AE14" s="54">
        <f t="shared" si="3"/>
        <v>47.826448183870504</v>
      </c>
      <c r="AF14" s="54">
        <f t="shared" si="3"/>
        <v>48.080842288255447</v>
      </c>
      <c r="AG14" s="54">
        <f t="shared" si="3"/>
        <v>48.056336668660734</v>
      </c>
      <c r="AH14" s="54">
        <f t="shared" si="3"/>
        <v>47.334194387034671</v>
      </c>
      <c r="AI14" s="54">
        <f t="shared" si="3"/>
        <v>47.680286531362341</v>
      </c>
      <c r="AJ14" s="54">
        <f t="shared" si="3"/>
        <v>48.150607786220476</v>
      </c>
    </row>
    <row r="15" spans="2:36">
      <c r="B15" s="64" t="s">
        <v>35</v>
      </c>
      <c r="C15" s="64"/>
      <c r="D15" s="64"/>
      <c r="E15" s="64"/>
      <c r="I15" s="55"/>
      <c r="M15" s="55"/>
    </row>
    <row r="16" spans="2:36">
      <c r="B16" t="s">
        <v>40</v>
      </c>
      <c r="C16" t="s">
        <v>41</v>
      </c>
      <c r="I16" s="55"/>
      <c r="J16" s="56"/>
      <c r="K16" s="56"/>
      <c r="L16" s="56"/>
      <c r="M16" s="56"/>
      <c r="N16" s="57"/>
    </row>
    <row r="19" spans="2:40" ht="15.75" thickBot="1"/>
    <row r="20" spans="2:40" ht="19.5" thickBot="1">
      <c r="B20" s="40" t="s">
        <v>78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</row>
    <row r="21" spans="2:40" ht="156.75" thickBot="1">
      <c r="B21" s="10" t="s">
        <v>0</v>
      </c>
      <c r="C21" s="36" t="s">
        <v>76</v>
      </c>
      <c r="D21" s="43" t="s">
        <v>66</v>
      </c>
      <c r="E21" s="43" t="s">
        <v>67</v>
      </c>
      <c r="F21" s="43" t="s">
        <v>68</v>
      </c>
      <c r="G21" s="43" t="s">
        <v>69</v>
      </c>
      <c r="H21" s="43" t="s">
        <v>70</v>
      </c>
      <c r="I21" s="43" t="s">
        <v>71</v>
      </c>
      <c r="J21" s="43" t="s">
        <v>72</v>
      </c>
      <c r="K21" s="43" t="s">
        <v>73</v>
      </c>
      <c r="L21" s="43" t="s">
        <v>74</v>
      </c>
      <c r="M21" s="43" t="s">
        <v>75</v>
      </c>
    </row>
    <row r="22" spans="2:40" ht="90.75" thickBot="1">
      <c r="B22" s="37" t="str">
        <f>B2</f>
        <v>Design, build, financing, maintenance and facilities management of 7 fire station buildings</v>
      </c>
      <c r="C22" s="32" t="s">
        <v>65</v>
      </c>
      <c r="D22" s="33" t="s">
        <v>77</v>
      </c>
      <c r="E22" s="33" t="s">
        <v>77</v>
      </c>
      <c r="F22" s="33" t="s">
        <v>77</v>
      </c>
      <c r="G22" s="33" t="s">
        <v>77</v>
      </c>
      <c r="H22" s="33" t="s">
        <v>77</v>
      </c>
      <c r="I22" s="33" t="s">
        <v>77</v>
      </c>
      <c r="J22" s="33" t="s">
        <v>77</v>
      </c>
      <c r="K22" s="33" t="s">
        <v>77</v>
      </c>
      <c r="L22" s="33" t="s">
        <v>77</v>
      </c>
      <c r="M22" s="34" t="s">
        <v>77</v>
      </c>
    </row>
    <row r="23" spans="2:40" ht="90.75" thickBot="1">
      <c r="B23" s="38" t="str">
        <f>B5</f>
        <v>Design, financing, construction and facility management of 14 school buildings in the region of Attica</v>
      </c>
      <c r="C23" s="51" t="s">
        <v>65</v>
      </c>
      <c r="D23" s="33" t="s">
        <v>77</v>
      </c>
      <c r="E23" s="33" t="s">
        <v>77</v>
      </c>
      <c r="F23" s="33" t="s">
        <v>77</v>
      </c>
      <c r="G23" s="33" t="s">
        <v>77</v>
      </c>
      <c r="H23" s="33" t="s">
        <v>77</v>
      </c>
      <c r="I23" s="33" t="s">
        <v>77</v>
      </c>
      <c r="J23" s="33" t="s">
        <v>77</v>
      </c>
      <c r="K23" s="33" t="s">
        <v>77</v>
      </c>
      <c r="L23" s="33" t="s">
        <v>77</v>
      </c>
      <c r="M23" s="34" t="s">
        <v>77</v>
      </c>
    </row>
    <row r="24" spans="2:40" ht="90.75" thickBot="1">
      <c r="B24" s="37" t="str">
        <f>B6</f>
        <v>Design, financing, construction and facility management of 10 school buildings in the region of Attica</v>
      </c>
      <c r="C24" s="51" t="s">
        <v>65</v>
      </c>
      <c r="D24" s="33" t="s">
        <v>77</v>
      </c>
      <c r="E24" s="33" t="s">
        <v>77</v>
      </c>
      <c r="F24" s="33" t="s">
        <v>77</v>
      </c>
      <c r="G24" s="33" t="s">
        <v>77</v>
      </c>
      <c r="H24" s="33" t="s">
        <v>77</v>
      </c>
      <c r="I24" s="33" t="s">
        <v>77</v>
      </c>
      <c r="J24" s="33" t="s">
        <v>77</v>
      </c>
      <c r="K24" s="33" t="s">
        <v>77</v>
      </c>
      <c r="L24" s="33" t="s">
        <v>77</v>
      </c>
      <c r="M24" s="34" t="s">
        <v>77</v>
      </c>
    </row>
    <row r="25" spans="2:40" ht="45.75" thickBot="1">
      <c r="B25" s="39" t="str">
        <f>B7</f>
        <v xml:space="preserve">Attica Urban Transportation-Telematics System  </v>
      </c>
      <c r="C25" s="35" t="s">
        <v>65</v>
      </c>
      <c r="D25" s="33" t="s">
        <v>77</v>
      </c>
      <c r="E25" s="33" t="s">
        <v>77</v>
      </c>
      <c r="F25" s="33" t="s">
        <v>77</v>
      </c>
      <c r="G25" s="33" t="s">
        <v>77</v>
      </c>
      <c r="H25" s="33" t="s">
        <v>77</v>
      </c>
      <c r="I25" s="33" t="s">
        <v>77</v>
      </c>
      <c r="J25" s="33" t="s">
        <v>77</v>
      </c>
      <c r="K25" s="33" t="s">
        <v>77</v>
      </c>
      <c r="L25" s="33" t="s">
        <v>77</v>
      </c>
      <c r="M25" s="34" t="s">
        <v>77</v>
      </c>
    </row>
    <row r="26" spans="2:40" ht="90.75" thickBot="1">
      <c r="B26" s="3" t="s">
        <v>79</v>
      </c>
      <c r="C26" s="32" t="s">
        <v>65</v>
      </c>
      <c r="D26" s="33" t="s">
        <v>65</v>
      </c>
      <c r="E26" s="33" t="s">
        <v>65</v>
      </c>
      <c r="F26" s="33" t="s">
        <v>65</v>
      </c>
      <c r="G26" s="33" t="s">
        <v>65</v>
      </c>
      <c r="H26" s="33" t="s">
        <v>65</v>
      </c>
      <c r="I26" s="33" t="s">
        <v>65</v>
      </c>
      <c r="J26" s="33" t="s">
        <v>65</v>
      </c>
      <c r="K26" s="33" t="s">
        <v>65</v>
      </c>
      <c r="L26" s="33" t="s">
        <v>65</v>
      </c>
      <c r="M26" s="34" t="s">
        <v>65</v>
      </c>
    </row>
    <row r="27" spans="2:40" ht="60.75" thickBot="1">
      <c r="B27" s="13" t="s">
        <v>83</v>
      </c>
      <c r="C27" s="32" t="s">
        <v>65</v>
      </c>
      <c r="D27" s="33" t="s">
        <v>65</v>
      </c>
      <c r="E27" s="33" t="s">
        <v>65</v>
      </c>
      <c r="F27" s="33" t="s">
        <v>65</v>
      </c>
      <c r="G27" s="33" t="s">
        <v>65</v>
      </c>
      <c r="H27" s="33" t="s">
        <v>65</v>
      </c>
      <c r="I27" s="33" t="s">
        <v>65</v>
      </c>
      <c r="J27" s="33" t="s">
        <v>65</v>
      </c>
      <c r="K27" s="33" t="s">
        <v>65</v>
      </c>
      <c r="L27" s="33" t="s">
        <v>65</v>
      </c>
      <c r="M27" s="34" t="s">
        <v>65</v>
      </c>
    </row>
    <row r="28" spans="2:40" ht="60.75" thickBot="1">
      <c r="B28" s="1" t="s">
        <v>84</v>
      </c>
      <c r="C28" s="51" t="s">
        <v>65</v>
      </c>
      <c r="D28" s="33" t="s">
        <v>65</v>
      </c>
      <c r="E28" s="33" t="s">
        <v>65</v>
      </c>
      <c r="F28" s="33" t="s">
        <v>65</v>
      </c>
      <c r="G28" s="33" t="s">
        <v>65</v>
      </c>
      <c r="H28" s="33" t="s">
        <v>65</v>
      </c>
      <c r="I28" s="33" t="s">
        <v>65</v>
      </c>
      <c r="J28" s="33" t="s">
        <v>65</v>
      </c>
      <c r="K28" s="33" t="s">
        <v>65</v>
      </c>
      <c r="L28" s="33" t="s">
        <v>65</v>
      </c>
      <c r="M28" s="34" t="s">
        <v>65</v>
      </c>
    </row>
    <row r="29" spans="2:40" ht="60.75" thickBot="1">
      <c r="B29" s="2" t="s">
        <v>85</v>
      </c>
      <c r="C29" s="51" t="s">
        <v>65</v>
      </c>
      <c r="D29" s="52" t="s">
        <v>65</v>
      </c>
      <c r="E29" s="52" t="s">
        <v>65</v>
      </c>
      <c r="F29" s="52" t="s">
        <v>65</v>
      </c>
      <c r="G29" s="52" t="s">
        <v>65</v>
      </c>
      <c r="H29" s="52" t="s">
        <v>65</v>
      </c>
      <c r="I29" s="52" t="s">
        <v>65</v>
      </c>
      <c r="J29" s="52" t="s">
        <v>65</v>
      </c>
      <c r="K29" s="52" t="s">
        <v>65</v>
      </c>
      <c r="L29" s="52" t="s">
        <v>65</v>
      </c>
      <c r="M29" s="53" t="s">
        <v>65</v>
      </c>
    </row>
    <row r="30" spans="2:40" ht="150.75" customHeight="1" thickBot="1">
      <c r="B30" s="3" t="s">
        <v>93</v>
      </c>
      <c r="C30" s="51" t="s">
        <v>65</v>
      </c>
      <c r="D30" s="52" t="s">
        <v>65</v>
      </c>
      <c r="E30" s="52" t="s">
        <v>65</v>
      </c>
      <c r="F30" s="52" t="s">
        <v>65</v>
      </c>
      <c r="G30" s="52" t="s">
        <v>65</v>
      </c>
      <c r="H30" s="52" t="s">
        <v>65</v>
      </c>
      <c r="I30" s="52" t="s">
        <v>65</v>
      </c>
      <c r="J30" s="52" t="s">
        <v>65</v>
      </c>
      <c r="K30" s="52" t="s">
        <v>65</v>
      </c>
      <c r="L30" s="52" t="s">
        <v>65</v>
      </c>
      <c r="M30" s="53" t="s">
        <v>65</v>
      </c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</row>
    <row r="31" spans="2:40" ht="105.75" thickBot="1">
      <c r="B31" s="4" t="s">
        <v>98</v>
      </c>
      <c r="C31" s="51" t="s">
        <v>65</v>
      </c>
      <c r="D31" s="52" t="s">
        <v>65</v>
      </c>
      <c r="E31" s="52" t="s">
        <v>65</v>
      </c>
      <c r="F31" s="52" t="s">
        <v>65</v>
      </c>
      <c r="G31" s="52" t="s">
        <v>65</v>
      </c>
      <c r="H31" s="52" t="s">
        <v>65</v>
      </c>
      <c r="I31" s="52" t="s">
        <v>65</v>
      </c>
      <c r="J31" s="52" t="s">
        <v>65</v>
      </c>
      <c r="K31" s="52" t="s">
        <v>65</v>
      </c>
      <c r="L31" s="52" t="s">
        <v>65</v>
      </c>
      <c r="M31" s="53" t="s">
        <v>65</v>
      </c>
    </row>
  </sheetData>
  <mergeCells count="4">
    <mergeCell ref="B15:E15"/>
    <mergeCell ref="J9:L9"/>
    <mergeCell ref="J10:L10"/>
    <mergeCell ref="J11:L11"/>
  </mergeCells>
  <phoneticPr fontId="3" type="noConversion"/>
  <pageMargins left="0.7" right="0.7" top="0.75" bottom="0.75" header="0.3" footer="0.3"/>
  <pageSetup scale="26" orientation="landscape" r:id="rId1"/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PPP Contracts</vt:lpstr>
      <vt:lpstr>'PPP Contracts'!Print_Area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Your User Name</cp:lastModifiedBy>
  <cp:lastPrinted>2015-09-08T08:01:31Z</cp:lastPrinted>
  <dcterms:created xsi:type="dcterms:W3CDTF">2014-08-08T10:06:32Z</dcterms:created>
  <dcterms:modified xsi:type="dcterms:W3CDTF">2016-07-27T11:54:06Z</dcterms:modified>
</cp:coreProperties>
</file>